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W:\Railroad Financial Conferences Reports to Commissioners\Q1 2017\"/>
    </mc:Choice>
  </mc:AlternateContent>
  <bookViews>
    <workbookView xWindow="13815" yWindow="150" windowWidth="14985" windowHeight="12045" tabRatio="428" activeTab="1"/>
  </bookViews>
  <sheets>
    <sheet name="INPUT" sheetId="6" r:id="rId1"/>
    <sheet name="Output" sheetId="1" r:id="rId2"/>
  </sheets>
  <calcPr calcId="171027"/>
</workbook>
</file>

<file path=xl/calcChain.xml><?xml version="1.0" encoding="utf-8"?>
<calcChain xmlns="http://schemas.openxmlformats.org/spreadsheetml/2006/main">
  <c r="A20" i="1" l="1"/>
  <c r="C9" i="1" l="1"/>
  <c r="G16" i="1" l="1"/>
  <c r="F16" i="1"/>
  <c r="E16" i="1"/>
  <c r="D16" i="1"/>
  <c r="C16" i="1"/>
  <c r="G14" i="1"/>
  <c r="F14" i="1"/>
  <c r="E14" i="1"/>
  <c r="D14" i="1"/>
  <c r="C14" i="1"/>
  <c r="G12" i="1"/>
  <c r="F12" i="1"/>
  <c r="E12" i="1"/>
  <c r="D12" i="1"/>
  <c r="C12" i="1"/>
  <c r="G10" i="1"/>
  <c r="F10" i="1"/>
  <c r="E10" i="1"/>
  <c r="D10" i="1"/>
  <c r="C10" i="1"/>
  <c r="G8" i="1"/>
  <c r="F8" i="1"/>
  <c r="E8" i="1"/>
  <c r="D8" i="1"/>
  <c r="C8" i="1"/>
  <c r="A19" i="1"/>
  <c r="G6" i="1"/>
  <c r="F6" i="1"/>
  <c r="E6" i="1"/>
  <c r="D6" i="1"/>
  <c r="C6" i="1"/>
  <c r="G4" i="1"/>
  <c r="F4" i="1"/>
  <c r="E4" i="1"/>
  <c r="D4" i="1"/>
  <c r="C4" i="1"/>
  <c r="B3" i="1"/>
  <c r="B4" i="1"/>
  <c r="B14" i="1" s="1"/>
  <c r="A4" i="6"/>
  <c r="G17" i="1" s="1"/>
  <c r="C5" i="1" l="1"/>
  <c r="D5" i="1"/>
  <c r="E5" i="1"/>
  <c r="F5" i="1"/>
  <c r="G5" i="1"/>
  <c r="B6" i="1"/>
  <c r="B8" i="1"/>
  <c r="B12" i="1"/>
  <c r="B16" i="1"/>
  <c r="F7" i="1"/>
  <c r="D7" i="1"/>
  <c r="D9" i="1"/>
  <c r="F9" i="1"/>
  <c r="D11" i="1"/>
  <c r="F11" i="1"/>
  <c r="D13" i="1"/>
  <c r="F13" i="1"/>
  <c r="B10" i="1"/>
  <c r="G7" i="1"/>
  <c r="E7" i="1"/>
  <c r="C7" i="1"/>
  <c r="E9" i="1"/>
  <c r="G9" i="1"/>
  <c r="C11" i="1"/>
  <c r="E11" i="1"/>
  <c r="G11" i="1"/>
  <c r="C13" i="1"/>
  <c r="E13" i="1"/>
  <c r="G13" i="1"/>
  <c r="C15" i="1"/>
  <c r="D15" i="1"/>
  <c r="E15" i="1"/>
  <c r="F15" i="1"/>
  <c r="G15" i="1"/>
  <c r="C17" i="1"/>
  <c r="D17" i="1"/>
  <c r="E17" i="1"/>
  <c r="F17" i="1"/>
  <c r="B5" i="1"/>
  <c r="B17" i="1" l="1"/>
  <c r="B13" i="1"/>
  <c r="B9" i="1"/>
  <c r="B7" i="1"/>
  <c r="B15" i="1"/>
  <c r="B11" i="1"/>
</calcChain>
</file>

<file path=xl/sharedStrings.xml><?xml version="1.0" encoding="utf-8"?>
<sst xmlns="http://schemas.openxmlformats.org/spreadsheetml/2006/main" count="76" uniqueCount="40">
  <si>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</si>
  <si>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</si>
  <si>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</si>
  <si>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</si>
  <si>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</si>
  <si>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</si>
  <si>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</si>
  <si>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</si>
  <si>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</si>
  <si>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</si>
  <si>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</si>
  <si>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</si>
  <si>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</si>
  <si>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</si>
  <si>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</si>
  <si>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</si>
  <si>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</si>
  <si>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</si>
  <si>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</si>
  <si>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</si>
  <si>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</si>
  <si>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</si>
  <si>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</si>
  <si>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</si>
  <si>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</si>
  <si>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</si>
  <si>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</si>
  <si>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</si>
  <si>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</si>
  <si>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</si>
  <si>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</si>
  <si>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</si>
  <si>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</si>
  <si>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</si>
  <si>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</si>
  <si>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</si>
  <si>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</si>
  <si>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</si>
  <si>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CSX Transportation Inc.'s quarter ended on March 31, 2017.</t>
  </si>
  <si>
    <t>CSX Transportation Inc.'s quarter ended on March 25,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</si>
</sst>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52">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applyFill="1" applyBorder="1" applyAlignment="1">
      <alignment horizontal="center"/>
    </xf>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41" fontId="6" fillId="0" borderId="15" xfId="2" applyNumberFormat="1" applyFill="1" applyBorder="1"/>
    <xf numFmtId="41" fontId="6" fillId="0" borderId="16" xfId="2" applyNumberFormat="1" applyFill="1" applyBorder="1"/>
    <xf numFmtId="41" fontId="6" fillId="0" borderId="17" xfId="2" applyNumberFormat="1" applyFont="1" applyFill="1" applyBorder="1" applyProtection="1"/>
    <xf numFmtId="0" fontId="6" fillId="3" borderId="0" xfId="2" applyFill="1"/>
    <xf numFmtId="0" fontId="8" fillId="3" borderId="0" xfId="0" applyFont="1" applyFill="1" applyBorder="1" applyAlignment="1">
      <alignment horizontal="center" vertical="center" wrapText="1"/>
    </xf>
    <xf numFmtId="0" fontId="5" fillId="4" borderId="0" xfId="2" applyFont="1" applyFill="1" applyProtection="1"/>
    <xf numFmtId="41" fontId="6" fillId="4" borderId="13" xfId="2" applyNumberFormat="1" applyFill="1" applyBorder="1"/>
    <xf numFmtId="41" fontId="6" fillId="4" borderId="9" xfId="2" applyNumberFormat="1" applyFill="1" applyBorder="1"/>
    <xf numFmtId="41" fontId="6" fillId="4" borderId="14" xfId="2" applyNumberFormat="1" applyFont="1" applyFill="1" applyBorder="1" applyProtection="1"/>
    <xf numFmtId="0" fontId="6" fillId="4" borderId="0" xfId="2" applyFill="1"/>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7" fillId="0" borderId="6" xfId="2" applyFont="1" applyFill="1" applyBorder="1" applyAlignment="1">
      <alignment horizontal="center"/>
    </xf>
    <xf numFmtId="0" fontId="7" fillId="0" borderId="7" xfId="2" applyFont="1" applyFill="1" applyBorder="1" applyAlignment="1">
      <alignment horizontal="center"/>
    </xf>
    <xf numFmtId="0" fontId="7" fillId="0" borderId="8" xfId="2" applyFont="1" applyFill="1" applyBorder="1" applyAlignment="1">
      <alignment horizontal="center"/>
    </xf>
    <xf numFmtId="0" fontId="1" fillId="2" borderId="18"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8"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topLeftCell="M1" zoomScale="115" zoomScaleNormal="115" workbookViewId="0">
      <selection activeCell="AF18" activeCellId="6" sqref="B18 G18 L18 Q18 V18 AA18 AF18"/>
    </sheetView>
  </sheetViews>
  <sheetFormatPr defaultRowHeight="11.25" x14ac:dyDescent="0.2"/>
  <cols>
    <col min="1" max="1" width="32" style="6" customWidth="1"/>
    <col min="2" max="2" width="10.5" style="6" customWidth="1"/>
    <col min="3" max="3" width="9.33203125" style="6" customWidth="1"/>
    <col min="4" max="4" width="9.6640625" style="6" customWidth="1"/>
    <col min="5" max="5" width="12.5" style="6" customWidth="1"/>
    <col min="6" max="12" width="9" style="6" customWidth="1"/>
    <col min="13" max="13" width="8.83203125" style="6" customWidth="1"/>
    <col min="14" max="16" width="9" style="6" customWidth="1"/>
    <col min="17" max="17" width="8" style="6" customWidth="1"/>
    <col min="18" max="18" width="8.83203125" style="6" customWidth="1"/>
    <col min="19" max="21" width="9" style="6" customWidth="1"/>
    <col min="22"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x14ac:dyDescent="0.2">
      <c r="A1" s="23" t="s">
        <v>28</v>
      </c>
      <c r="B1" s="11"/>
      <c r="C1" s="43" t="s">
        <v>38</v>
      </c>
      <c r="D1" s="43"/>
      <c r="E1" s="43"/>
      <c r="F1" s="43"/>
      <c r="G1" s="11"/>
    </row>
    <row r="2" spans="1:36" ht="30" x14ac:dyDescent="0.2">
      <c r="A2" s="31" t="s">
        <v>25</v>
      </c>
      <c r="B2" s="11"/>
      <c r="C2" s="43" t="s">
        <v>39</v>
      </c>
      <c r="D2" s="43"/>
      <c r="E2" s="43"/>
      <c r="F2" s="43"/>
      <c r="G2" s="11"/>
    </row>
    <row r="3" spans="1:36" x14ac:dyDescent="0.2">
      <c r="A3" s="25">
        <v>2017</v>
      </c>
    </row>
    <row r="4" spans="1:36" ht="12" thickBot="1" x14ac:dyDescent="0.25">
      <c r="A4" s="25">
        <f>A3-1</f>
        <v>2016</v>
      </c>
    </row>
    <row r="5" spans="1:36" s="9" customFormat="1" ht="12" thickBot="1" x14ac:dyDescent="0.25">
      <c r="A5" s="8"/>
      <c r="B5" s="37" t="s">
        <v>18</v>
      </c>
      <c r="C5" s="38"/>
      <c r="D5" s="38"/>
      <c r="E5" s="38"/>
      <c r="F5" s="39"/>
      <c r="G5" s="44" t="s">
        <v>19</v>
      </c>
      <c r="H5" s="45"/>
      <c r="I5" s="45"/>
      <c r="J5" s="45"/>
      <c r="K5" s="46"/>
      <c r="L5" s="40" t="s">
        <v>33</v>
      </c>
      <c r="M5" s="41"/>
      <c r="N5" s="41"/>
      <c r="O5" s="41"/>
      <c r="P5" s="42"/>
      <c r="Q5" s="37" t="s">
        <v>20</v>
      </c>
      <c r="R5" s="38"/>
      <c r="S5" s="38"/>
      <c r="T5" s="38"/>
      <c r="U5" s="39"/>
      <c r="V5" s="37" t="s">
        <v>21</v>
      </c>
      <c r="W5" s="38"/>
      <c r="X5" s="38"/>
      <c r="Y5" s="38"/>
      <c r="Z5" s="39"/>
      <c r="AA5" s="40" t="s">
        <v>34</v>
      </c>
      <c r="AB5" s="41"/>
      <c r="AC5" s="41"/>
      <c r="AD5" s="41"/>
      <c r="AE5" s="42"/>
      <c r="AF5" s="40" t="s">
        <v>22</v>
      </c>
      <c r="AG5" s="41"/>
      <c r="AH5" s="41"/>
      <c r="AI5" s="41"/>
      <c r="AJ5" s="42"/>
    </row>
    <row r="6" spans="1:36" ht="135" x14ac:dyDescent="0.2">
      <c r="A6" s="7"/>
      <c r="B6" s="13" t="s">
        <v>31</v>
      </c>
      <c r="C6" s="14" t="s">
        <v>3</v>
      </c>
      <c r="D6" s="14" t="s">
        <v>4</v>
      </c>
      <c r="E6" s="15" t="s">
        <v>32</v>
      </c>
      <c r="F6" s="16" t="s">
        <v>6</v>
      </c>
      <c r="G6" s="13" t="s">
        <v>31</v>
      </c>
      <c r="H6" s="14" t="s">
        <v>3</v>
      </c>
      <c r="I6" s="14" t="s">
        <v>4</v>
      </c>
      <c r="J6" s="15" t="s">
        <v>32</v>
      </c>
      <c r="K6" s="16" t="s">
        <v>6</v>
      </c>
      <c r="L6" s="13" t="s">
        <v>31</v>
      </c>
      <c r="M6" s="14" t="s">
        <v>3</v>
      </c>
      <c r="N6" s="14" t="s">
        <v>4</v>
      </c>
      <c r="O6" s="15" t="s">
        <v>32</v>
      </c>
      <c r="P6" s="16" t="s">
        <v>6</v>
      </c>
      <c r="Q6" s="13" t="s">
        <v>31</v>
      </c>
      <c r="R6" s="14" t="s">
        <v>3</v>
      </c>
      <c r="S6" s="14" t="s">
        <v>4</v>
      </c>
      <c r="T6" s="15" t="s">
        <v>32</v>
      </c>
      <c r="U6" s="16" t="s">
        <v>6</v>
      </c>
      <c r="V6" s="13" t="s">
        <v>31</v>
      </c>
      <c r="W6" s="14" t="s">
        <v>3</v>
      </c>
      <c r="X6" s="14" t="s">
        <v>4</v>
      </c>
      <c r="Y6" s="15" t="s">
        <v>32</v>
      </c>
      <c r="Z6" s="16" t="s">
        <v>6</v>
      </c>
      <c r="AA6" s="13" t="s">
        <v>31</v>
      </c>
      <c r="AB6" s="14" t="s">
        <v>3</v>
      </c>
      <c r="AC6" s="14" t="s">
        <v>4</v>
      </c>
      <c r="AD6" s="15" t="s">
        <v>32</v>
      </c>
      <c r="AE6" s="16" t="s">
        <v>6</v>
      </c>
      <c r="AF6" s="13" t="s">
        <v>31</v>
      </c>
      <c r="AG6" s="14" t="s">
        <v>3</v>
      </c>
      <c r="AH6" s="14" t="s">
        <v>4</v>
      </c>
      <c r="AI6" s="15" t="s">
        <v>32</v>
      </c>
      <c r="AJ6" s="16" t="s">
        <v>6</v>
      </c>
    </row>
    <row r="7" spans="1:36" x14ac:dyDescent="0.2">
      <c r="A7" s="10" t="s">
        <v>23</v>
      </c>
      <c r="B7" s="19">
        <v>1179117</v>
      </c>
      <c r="C7" s="17">
        <v>372652</v>
      </c>
      <c r="D7" s="17">
        <v>1334</v>
      </c>
      <c r="E7" s="17">
        <v>764816</v>
      </c>
      <c r="F7" s="21">
        <v>121702</v>
      </c>
      <c r="G7" s="19">
        <v>407103</v>
      </c>
      <c r="H7" s="17">
        <v>133121</v>
      </c>
      <c r="I7" s="17">
        <v>-28604</v>
      </c>
      <c r="J7" s="17">
        <v>317630</v>
      </c>
      <c r="K7" s="21">
        <v>17693</v>
      </c>
      <c r="L7" s="19">
        <v>107048</v>
      </c>
      <c r="M7" s="17">
        <v>30183</v>
      </c>
      <c r="N7" s="17">
        <v>-1301</v>
      </c>
      <c r="O7" s="17">
        <v>66243</v>
      </c>
      <c r="P7" s="21">
        <v>6825</v>
      </c>
      <c r="Q7" s="19">
        <v>54451</v>
      </c>
      <c r="R7" s="17">
        <v>18001</v>
      </c>
      <c r="S7" s="17">
        <v>-943</v>
      </c>
      <c r="T7" s="17">
        <v>40665</v>
      </c>
      <c r="U7" s="21">
        <v>10661</v>
      </c>
      <c r="V7" s="19">
        <v>414672</v>
      </c>
      <c r="W7" s="17">
        <v>131767</v>
      </c>
      <c r="X7" s="17">
        <v>-23531</v>
      </c>
      <c r="Y7" s="17">
        <v>358014</v>
      </c>
      <c r="Z7" s="21">
        <v>2070</v>
      </c>
      <c r="AA7" s="19">
        <v>51389</v>
      </c>
      <c r="AB7" s="17">
        <v>17792</v>
      </c>
      <c r="AC7" s="17">
        <v>-14483</v>
      </c>
      <c r="AD7" s="17">
        <v>43290</v>
      </c>
      <c r="AE7" s="21">
        <v>16777</v>
      </c>
      <c r="AF7" s="19">
        <v>922084</v>
      </c>
      <c r="AG7" s="17">
        <v>301614</v>
      </c>
      <c r="AH7" s="17">
        <v>837</v>
      </c>
      <c r="AI7" s="17">
        <v>725883</v>
      </c>
      <c r="AJ7" s="21">
        <v>87204</v>
      </c>
    </row>
    <row r="8" spans="1:36" s="11" customFormat="1" x14ac:dyDescent="0.2">
      <c r="A8" s="10" t="s">
        <v>14</v>
      </c>
      <c r="B8" s="19">
        <v>1149044</v>
      </c>
      <c r="C8" s="17">
        <v>372196</v>
      </c>
      <c r="D8" s="17">
        <v>-30073</v>
      </c>
      <c r="E8" s="17">
        <v>740642</v>
      </c>
      <c r="F8" s="21">
        <v>114729</v>
      </c>
      <c r="G8" s="19">
        <v>385503</v>
      </c>
      <c r="H8" s="17">
        <v>128305</v>
      </c>
      <c r="I8" s="17">
        <v>-21600</v>
      </c>
      <c r="J8" s="17">
        <v>302820</v>
      </c>
      <c r="K8" s="21">
        <v>14506</v>
      </c>
      <c r="L8" s="19">
        <v>95689</v>
      </c>
      <c r="M8" s="17">
        <v>28162</v>
      </c>
      <c r="N8" s="17">
        <v>-11359</v>
      </c>
      <c r="O8" s="17">
        <v>66047</v>
      </c>
      <c r="P8" s="21">
        <v>5529</v>
      </c>
      <c r="Q8" s="19">
        <v>55777</v>
      </c>
      <c r="R8" s="17">
        <v>18985</v>
      </c>
      <c r="S8" s="17">
        <v>1326</v>
      </c>
      <c r="T8" s="17">
        <v>39686</v>
      </c>
      <c r="U8" s="21">
        <v>8171</v>
      </c>
      <c r="V8" s="19">
        <v>394969</v>
      </c>
      <c r="W8" s="17">
        <v>128654</v>
      </c>
      <c r="X8" s="17">
        <v>-19703</v>
      </c>
      <c r="Y8" s="17">
        <v>368789</v>
      </c>
      <c r="Z8" s="21">
        <v>2201</v>
      </c>
      <c r="AA8" s="19">
        <v>53329</v>
      </c>
      <c r="AB8" s="17">
        <v>17116</v>
      </c>
      <c r="AC8" s="17">
        <v>1940</v>
      </c>
      <c r="AD8" s="17">
        <v>43156</v>
      </c>
      <c r="AE8" s="21">
        <v>16155</v>
      </c>
      <c r="AF8" s="19">
        <v>882281</v>
      </c>
      <c r="AG8" s="17">
        <v>295963</v>
      </c>
      <c r="AH8" s="17">
        <v>-39802</v>
      </c>
      <c r="AI8" s="17">
        <v>720965</v>
      </c>
      <c r="AJ8" s="21">
        <v>85751</v>
      </c>
    </row>
    <row r="9" spans="1:36" s="11" customFormat="1" x14ac:dyDescent="0.2">
      <c r="A9" s="10" t="s">
        <v>15</v>
      </c>
      <c r="B9" s="19">
        <v>1061322</v>
      </c>
      <c r="C9" s="17">
        <v>397177</v>
      </c>
      <c r="D9" s="17">
        <v>-87722</v>
      </c>
      <c r="E9" s="17">
        <v>705005</v>
      </c>
      <c r="F9" s="21">
        <v>121308</v>
      </c>
      <c r="G9" s="19">
        <v>352590</v>
      </c>
      <c r="H9" s="17">
        <v>135080</v>
      </c>
      <c r="I9" s="17">
        <v>-32913</v>
      </c>
      <c r="J9" s="17">
        <v>283678</v>
      </c>
      <c r="K9" s="21">
        <v>14201</v>
      </c>
      <c r="L9" s="19">
        <v>95184</v>
      </c>
      <c r="M9" s="17">
        <v>31483</v>
      </c>
      <c r="N9" s="17">
        <v>-505</v>
      </c>
      <c r="O9" s="17">
        <v>64474</v>
      </c>
      <c r="P9" s="21">
        <v>9119</v>
      </c>
      <c r="Q9" s="19">
        <v>43025</v>
      </c>
      <c r="R9" s="17">
        <v>17496</v>
      </c>
      <c r="S9" s="17">
        <v>-12752</v>
      </c>
      <c r="T9" s="17">
        <v>34756</v>
      </c>
      <c r="U9" s="21">
        <v>7876</v>
      </c>
      <c r="V9" s="19">
        <v>353771</v>
      </c>
      <c r="W9" s="17">
        <v>135037</v>
      </c>
      <c r="X9" s="17">
        <v>-41198</v>
      </c>
      <c r="Y9" s="17">
        <v>307553</v>
      </c>
      <c r="Z9" s="21">
        <v>1892</v>
      </c>
      <c r="AA9" s="19">
        <v>74623</v>
      </c>
      <c r="AB9" s="17">
        <v>19161</v>
      </c>
      <c r="AC9" s="17">
        <v>21294</v>
      </c>
      <c r="AD9" s="17">
        <v>39255</v>
      </c>
      <c r="AE9" s="21">
        <v>16009</v>
      </c>
      <c r="AF9" s="19">
        <v>813231</v>
      </c>
      <c r="AG9" s="17">
        <v>309529</v>
      </c>
      <c r="AH9" s="17">
        <v>-69050</v>
      </c>
      <c r="AI9" s="17">
        <v>656218</v>
      </c>
      <c r="AJ9" s="21">
        <v>85489</v>
      </c>
    </row>
    <row r="10" spans="1:36" s="11" customFormat="1" x14ac:dyDescent="0.2">
      <c r="A10" s="10" t="s">
        <v>16</v>
      </c>
      <c r="B10" s="19">
        <v>731455</v>
      </c>
      <c r="C10" s="17">
        <v>380631</v>
      </c>
      <c r="D10" s="17">
        <v>-329867</v>
      </c>
      <c r="E10" s="17">
        <v>482918</v>
      </c>
      <c r="F10" s="21">
        <v>84353</v>
      </c>
      <c r="G10" s="19">
        <v>262571</v>
      </c>
      <c r="H10" s="17">
        <v>141256</v>
      </c>
      <c r="I10" s="17">
        <v>-90018</v>
      </c>
      <c r="J10" s="17">
        <v>190831</v>
      </c>
      <c r="K10" s="21">
        <v>2992</v>
      </c>
      <c r="L10" s="19">
        <v>68931</v>
      </c>
      <c r="M10" s="17">
        <v>32636</v>
      </c>
      <c r="N10" s="17">
        <v>-26253</v>
      </c>
      <c r="O10" s="17">
        <v>41804</v>
      </c>
      <c r="P10" s="21">
        <v>4520</v>
      </c>
      <c r="Q10" s="19">
        <v>30840</v>
      </c>
      <c r="R10" s="17">
        <v>16590</v>
      </c>
      <c r="S10" s="17">
        <v>-12185</v>
      </c>
      <c r="T10" s="17">
        <v>24036</v>
      </c>
      <c r="U10" s="21">
        <v>5731</v>
      </c>
      <c r="V10" s="19">
        <v>269096</v>
      </c>
      <c r="W10" s="17">
        <v>136215</v>
      </c>
      <c r="X10" s="17">
        <v>-84675</v>
      </c>
      <c r="Y10" s="17">
        <v>162640</v>
      </c>
      <c r="Z10" s="21">
        <v>1199</v>
      </c>
      <c r="AA10" s="19">
        <v>26744</v>
      </c>
      <c r="AB10" s="17">
        <v>19297</v>
      </c>
      <c r="AC10" s="17">
        <v>-47879</v>
      </c>
      <c r="AD10" s="17">
        <v>23526</v>
      </c>
      <c r="AE10" s="21">
        <v>9718</v>
      </c>
      <c r="AF10" s="19">
        <v>564610</v>
      </c>
      <c r="AG10" s="17">
        <v>293581</v>
      </c>
      <c r="AH10" s="17">
        <v>-248622</v>
      </c>
      <c r="AI10" s="17">
        <v>447308</v>
      </c>
      <c r="AJ10" s="21">
        <v>59078</v>
      </c>
    </row>
    <row r="11" spans="1:36" s="11" customFormat="1" x14ac:dyDescent="0.2">
      <c r="A11" s="10" t="s">
        <v>17</v>
      </c>
      <c r="B11" s="19">
        <v>721520</v>
      </c>
      <c r="C11" s="17">
        <v>362500</v>
      </c>
      <c r="D11" s="17">
        <v>-9935</v>
      </c>
      <c r="E11" s="17">
        <v>317756</v>
      </c>
      <c r="F11" s="21">
        <v>15656</v>
      </c>
      <c r="G11" s="19">
        <v>257109</v>
      </c>
      <c r="H11" s="17">
        <v>129077</v>
      </c>
      <c r="I11" s="17">
        <v>-5462</v>
      </c>
      <c r="J11" s="17">
        <v>133850</v>
      </c>
      <c r="K11" s="21">
        <v>758</v>
      </c>
      <c r="L11" s="19">
        <v>58160</v>
      </c>
      <c r="M11" s="17">
        <v>27842</v>
      </c>
      <c r="N11" s="17">
        <v>-10771</v>
      </c>
      <c r="O11" s="17">
        <v>23702</v>
      </c>
      <c r="P11" s="21">
        <v>1852</v>
      </c>
      <c r="Q11" s="19">
        <v>28327</v>
      </c>
      <c r="R11" s="17">
        <v>14344</v>
      </c>
      <c r="S11" s="17">
        <v>-2513</v>
      </c>
      <c r="T11" s="17">
        <v>13591</v>
      </c>
      <c r="U11" s="21">
        <v>2789</v>
      </c>
      <c r="V11" s="19">
        <v>259854</v>
      </c>
      <c r="W11" s="17">
        <v>130272</v>
      </c>
      <c r="X11" s="17">
        <v>-9242</v>
      </c>
      <c r="Y11" s="17">
        <v>119426</v>
      </c>
      <c r="Z11" s="21">
        <v>457</v>
      </c>
      <c r="AA11" s="19">
        <v>40604</v>
      </c>
      <c r="AB11" s="17">
        <v>17407</v>
      </c>
      <c r="AC11" s="17">
        <v>13861</v>
      </c>
      <c r="AD11" s="17">
        <v>14864</v>
      </c>
      <c r="AE11" s="21">
        <v>5557</v>
      </c>
      <c r="AF11" s="19">
        <v>540434</v>
      </c>
      <c r="AG11" s="17">
        <v>275909</v>
      </c>
      <c r="AH11" s="17">
        <v>-24176</v>
      </c>
      <c r="AI11" s="17">
        <v>326640</v>
      </c>
      <c r="AJ11" s="21">
        <v>31796</v>
      </c>
    </row>
    <row r="12" spans="1:36" s="11" customFormat="1" x14ac:dyDescent="0.2">
      <c r="A12" s="10" t="s">
        <v>35</v>
      </c>
      <c r="B12" s="19">
        <v>688381</v>
      </c>
      <c r="C12" s="17">
        <v>370876</v>
      </c>
      <c r="D12" s="17">
        <v>-33139</v>
      </c>
      <c r="E12" s="17">
        <v>303130</v>
      </c>
      <c r="F12" s="21">
        <v>9329</v>
      </c>
      <c r="G12" s="19">
        <v>218189.85860000001</v>
      </c>
      <c r="H12" s="17">
        <v>124137</v>
      </c>
      <c r="I12" s="17">
        <v>-38919.329299999998</v>
      </c>
      <c r="J12" s="17">
        <v>127501</v>
      </c>
      <c r="K12" s="21">
        <v>647</v>
      </c>
      <c r="L12" s="19">
        <v>47995</v>
      </c>
      <c r="M12" s="17">
        <v>25675</v>
      </c>
      <c r="N12" s="17">
        <v>-10165</v>
      </c>
      <c r="O12" s="17">
        <v>24486</v>
      </c>
      <c r="P12" s="21">
        <v>1930</v>
      </c>
      <c r="Q12" s="19">
        <v>31141</v>
      </c>
      <c r="R12" s="17">
        <v>17819</v>
      </c>
      <c r="S12" s="17">
        <v>2814</v>
      </c>
      <c r="T12" s="17">
        <v>16841</v>
      </c>
      <c r="U12" s="21">
        <v>3388</v>
      </c>
      <c r="V12" s="19">
        <v>226239</v>
      </c>
      <c r="W12" s="17">
        <v>127415</v>
      </c>
      <c r="X12" s="17">
        <v>-33615</v>
      </c>
      <c r="Y12" s="17">
        <v>113470</v>
      </c>
      <c r="Z12" s="21">
        <v>387</v>
      </c>
      <c r="AA12" s="19">
        <v>29720.146000000001</v>
      </c>
      <c r="AB12" s="17">
        <v>16711.988000000001</v>
      </c>
      <c r="AC12" s="17">
        <v>-10884.284</v>
      </c>
      <c r="AD12" s="17">
        <v>14148.878830000001</v>
      </c>
      <c r="AE12" s="21">
        <v>5229.5266600000004</v>
      </c>
      <c r="AF12" s="19">
        <v>483764</v>
      </c>
      <c r="AG12" s="17">
        <v>271611</v>
      </c>
      <c r="AH12" s="17">
        <v>-56670</v>
      </c>
      <c r="AI12" s="17">
        <v>314055</v>
      </c>
      <c r="AJ12" s="21">
        <v>32402</v>
      </c>
    </row>
    <row r="13" spans="1:36" s="11" customFormat="1" x14ac:dyDescent="0.2">
      <c r="A13" s="10" t="s">
        <v>24</v>
      </c>
      <c r="B13" s="19">
        <v>587277</v>
      </c>
      <c r="C13" s="17">
        <v>364638</v>
      </c>
      <c r="D13" s="17">
        <v>-101104</v>
      </c>
      <c r="E13" s="17">
        <v>209115</v>
      </c>
      <c r="F13" s="21">
        <v>3059</v>
      </c>
      <c r="G13" s="19">
        <v>196326</v>
      </c>
      <c r="H13" s="17">
        <v>124486</v>
      </c>
      <c r="I13" s="17">
        <v>-21863</v>
      </c>
      <c r="J13" s="17">
        <v>86053</v>
      </c>
      <c r="K13" s="21">
        <v>415</v>
      </c>
      <c r="L13" s="19">
        <v>53487</v>
      </c>
      <c r="M13" s="17">
        <v>28826</v>
      </c>
      <c r="N13" s="17">
        <v>5492</v>
      </c>
      <c r="O13" s="17">
        <v>13851</v>
      </c>
      <c r="P13" s="21">
        <v>1322</v>
      </c>
      <c r="Q13" s="19">
        <v>26599</v>
      </c>
      <c r="R13" s="17">
        <v>17141</v>
      </c>
      <c r="S13" s="17">
        <v>-4542</v>
      </c>
      <c r="T13" s="17">
        <v>11096</v>
      </c>
      <c r="U13" s="21">
        <v>2587</v>
      </c>
      <c r="V13" s="19">
        <v>199905</v>
      </c>
      <c r="W13" s="17">
        <v>130242</v>
      </c>
      <c r="X13" s="17">
        <v>-26334</v>
      </c>
      <c r="Y13" s="17">
        <v>81817</v>
      </c>
      <c r="Z13" s="21">
        <v>218</v>
      </c>
      <c r="AA13" s="19">
        <v>25819</v>
      </c>
      <c r="AB13" s="17">
        <v>16920</v>
      </c>
      <c r="AC13" s="17">
        <v>-3901</v>
      </c>
      <c r="AD13" s="17">
        <v>7632</v>
      </c>
      <c r="AE13" s="21">
        <v>2370</v>
      </c>
      <c r="AF13" s="19">
        <v>424165</v>
      </c>
      <c r="AG13" s="17">
        <v>266310</v>
      </c>
      <c r="AH13" s="17">
        <v>-59599</v>
      </c>
      <c r="AI13" s="17">
        <v>218079</v>
      </c>
      <c r="AJ13" s="21">
        <v>19834</v>
      </c>
    </row>
    <row r="14" spans="1:36" s="36" customFormat="1" x14ac:dyDescent="0.2">
      <c r="A14" s="32" t="s">
        <v>25</v>
      </c>
      <c r="B14" s="33">
        <v>405880</v>
      </c>
      <c r="C14" s="34">
        <v>332147</v>
      </c>
      <c r="D14" s="34">
        <v>-181397</v>
      </c>
      <c r="E14" s="34">
        <v>123810</v>
      </c>
      <c r="F14" s="35">
        <v>456</v>
      </c>
      <c r="G14" s="33">
        <v>145992</v>
      </c>
      <c r="H14" s="34">
        <v>122532</v>
      </c>
      <c r="I14" s="34">
        <v>-50335</v>
      </c>
      <c r="J14" s="34">
        <v>52032</v>
      </c>
      <c r="K14" s="35">
        <v>152</v>
      </c>
      <c r="L14" s="33">
        <v>40627</v>
      </c>
      <c r="M14" s="34">
        <v>30717</v>
      </c>
      <c r="N14" s="34">
        <v>-12860</v>
      </c>
      <c r="O14" s="34">
        <v>7132</v>
      </c>
      <c r="P14" s="35">
        <v>249</v>
      </c>
      <c r="Q14" s="33">
        <v>19080</v>
      </c>
      <c r="R14" s="34">
        <v>15584</v>
      </c>
      <c r="S14" s="34">
        <v>-7519</v>
      </c>
      <c r="T14" s="34">
        <v>6663</v>
      </c>
      <c r="U14" s="35">
        <v>1410</v>
      </c>
      <c r="V14" s="33">
        <v>152309</v>
      </c>
      <c r="W14" s="34">
        <v>127870</v>
      </c>
      <c r="X14" s="34">
        <v>-47596</v>
      </c>
      <c r="Y14" s="34">
        <v>49073</v>
      </c>
      <c r="Z14" s="35">
        <v>83</v>
      </c>
      <c r="AA14" s="33">
        <v>16128</v>
      </c>
      <c r="AB14" s="34">
        <v>15746</v>
      </c>
      <c r="AC14" s="34">
        <v>-9692</v>
      </c>
      <c r="AD14" s="34">
        <v>2746</v>
      </c>
      <c r="AE14" s="35">
        <v>631</v>
      </c>
      <c r="AF14" s="33">
        <v>320213</v>
      </c>
      <c r="AG14" s="34">
        <v>257872</v>
      </c>
      <c r="AH14" s="34">
        <v>-103952</v>
      </c>
      <c r="AI14" s="34">
        <v>112902</v>
      </c>
      <c r="AJ14" s="35">
        <v>8835</v>
      </c>
    </row>
    <row r="15" spans="1:36" s="11" customFormat="1" x14ac:dyDescent="0.2">
      <c r="A15" s="10" t="s">
        <v>26</v>
      </c>
      <c r="B15" s="19">
        <v>443375</v>
      </c>
      <c r="C15" s="17">
        <v>310992</v>
      </c>
      <c r="D15" s="17">
        <v>37495</v>
      </c>
      <c r="E15" s="17">
        <v>106543</v>
      </c>
      <c r="F15" s="21">
        <v>5</v>
      </c>
      <c r="G15" s="19">
        <v>169438</v>
      </c>
      <c r="H15" s="17">
        <v>114067</v>
      </c>
      <c r="I15" s="17">
        <v>23446</v>
      </c>
      <c r="J15" s="17">
        <v>35939</v>
      </c>
      <c r="K15" s="21">
        <v>23</v>
      </c>
      <c r="L15" s="19">
        <v>45413</v>
      </c>
      <c r="M15" s="17">
        <v>31044</v>
      </c>
      <c r="N15" s="17">
        <v>4786</v>
      </c>
      <c r="O15" s="17">
        <v>4677</v>
      </c>
      <c r="P15" s="21">
        <v>8</v>
      </c>
      <c r="Q15" s="19">
        <v>20762</v>
      </c>
      <c r="R15" s="17">
        <v>14184</v>
      </c>
      <c r="S15" s="17">
        <v>1682</v>
      </c>
      <c r="T15" s="17">
        <v>3976</v>
      </c>
      <c r="U15" s="21">
        <v>678</v>
      </c>
      <c r="V15" s="19">
        <v>178311</v>
      </c>
      <c r="W15" s="17">
        <v>120592</v>
      </c>
      <c r="X15" s="17">
        <v>26002</v>
      </c>
      <c r="Y15" s="17">
        <v>49665</v>
      </c>
      <c r="Z15" s="21">
        <v>2</v>
      </c>
      <c r="AA15" s="19">
        <v>21669</v>
      </c>
      <c r="AB15" s="17">
        <v>13551</v>
      </c>
      <c r="AC15" s="17">
        <v>5542</v>
      </c>
      <c r="AD15" s="17">
        <v>2325</v>
      </c>
      <c r="AE15" s="21">
        <v>334</v>
      </c>
      <c r="AF15" s="19">
        <v>346137</v>
      </c>
      <c r="AG15" s="17">
        <v>241923</v>
      </c>
      <c r="AH15" s="17">
        <v>25924</v>
      </c>
      <c r="AI15" s="17">
        <v>87187</v>
      </c>
      <c r="AJ15" s="21">
        <v>301</v>
      </c>
    </row>
    <row r="16" spans="1:36" s="11" customFormat="1" x14ac:dyDescent="0.2">
      <c r="A16" s="10" t="s">
        <v>36</v>
      </c>
      <c r="B16" s="19">
        <v>545081</v>
      </c>
      <c r="C16" s="17">
        <v>344789</v>
      </c>
      <c r="D16" s="17">
        <v>101706</v>
      </c>
      <c r="E16" s="17">
        <v>169828</v>
      </c>
      <c r="F16" s="21">
        <v>51</v>
      </c>
      <c r="G16" s="19">
        <v>170288</v>
      </c>
      <c r="H16" s="17">
        <v>108432</v>
      </c>
      <c r="I16" s="17">
        <v>851</v>
      </c>
      <c r="J16" s="17">
        <v>64628</v>
      </c>
      <c r="K16" s="21">
        <v>57</v>
      </c>
      <c r="L16" s="19">
        <v>53581</v>
      </c>
      <c r="M16" s="17">
        <v>33126</v>
      </c>
      <c r="N16" s="17">
        <v>8168</v>
      </c>
      <c r="O16" s="17">
        <v>9198</v>
      </c>
      <c r="P16" s="21">
        <v>452</v>
      </c>
      <c r="Q16" s="19">
        <v>26534</v>
      </c>
      <c r="R16" s="17">
        <v>16681</v>
      </c>
      <c r="S16" s="17">
        <v>5772</v>
      </c>
      <c r="T16" s="17">
        <v>8959</v>
      </c>
      <c r="U16" s="21">
        <v>2886</v>
      </c>
      <c r="V16" s="19">
        <v>183954</v>
      </c>
      <c r="W16" s="17">
        <v>118981</v>
      </c>
      <c r="X16" s="17">
        <v>5643</v>
      </c>
      <c r="Y16" s="17">
        <v>66848</v>
      </c>
      <c r="Z16" s="21">
        <v>107</v>
      </c>
      <c r="AA16" s="19">
        <v>20147</v>
      </c>
      <c r="AB16" s="17">
        <v>10321</v>
      </c>
      <c r="AC16" s="17">
        <v>-1522</v>
      </c>
      <c r="AD16" s="17">
        <v>5128</v>
      </c>
      <c r="AE16" s="21">
        <v>1455</v>
      </c>
      <c r="AF16" s="19">
        <v>392079</v>
      </c>
      <c r="AG16" s="17">
        <v>252357</v>
      </c>
      <c r="AH16" s="17">
        <v>45942</v>
      </c>
      <c r="AI16" s="17">
        <v>173020</v>
      </c>
      <c r="AJ16" s="21">
        <v>12897</v>
      </c>
    </row>
    <row r="17" spans="1:36" s="11" customFormat="1" x14ac:dyDescent="0.2">
      <c r="A17" s="10" t="s">
        <v>27</v>
      </c>
      <c r="B17" s="19">
        <v>585422</v>
      </c>
      <c r="C17" s="17">
        <v>359139</v>
      </c>
      <c r="D17" s="17">
        <v>40341</v>
      </c>
      <c r="E17" s="17">
        <v>180074</v>
      </c>
      <c r="F17" s="21">
        <v>53</v>
      </c>
      <c r="G17" s="19">
        <v>212545</v>
      </c>
      <c r="H17" s="17">
        <v>125952</v>
      </c>
      <c r="I17" s="17">
        <v>42257</v>
      </c>
      <c r="J17" s="17">
        <v>76310</v>
      </c>
      <c r="K17" s="21">
        <v>143</v>
      </c>
      <c r="L17" s="19">
        <v>63084</v>
      </c>
      <c r="M17" s="17">
        <v>37480</v>
      </c>
      <c r="N17" s="17">
        <v>9503</v>
      </c>
      <c r="O17" s="17">
        <v>9708</v>
      </c>
      <c r="P17" s="21">
        <v>688</v>
      </c>
      <c r="Q17" s="19">
        <v>26906</v>
      </c>
      <c r="R17" s="17">
        <v>16472</v>
      </c>
      <c r="S17" s="17">
        <v>372</v>
      </c>
      <c r="T17" s="17">
        <v>9607</v>
      </c>
      <c r="U17" s="21">
        <v>3189</v>
      </c>
      <c r="V17" s="19">
        <v>198123</v>
      </c>
      <c r="W17" s="17">
        <v>121098</v>
      </c>
      <c r="X17" s="17">
        <v>14169</v>
      </c>
      <c r="Y17" s="17">
        <v>69979</v>
      </c>
      <c r="Z17" s="21">
        <v>89</v>
      </c>
      <c r="AA17" s="19">
        <v>24992</v>
      </c>
      <c r="AB17" s="17">
        <v>14776</v>
      </c>
      <c r="AC17" s="17">
        <v>4845</v>
      </c>
      <c r="AD17" s="17">
        <v>6808</v>
      </c>
      <c r="AE17" s="21">
        <v>1634</v>
      </c>
      <c r="AF17" s="19">
        <v>430792</v>
      </c>
      <c r="AG17" s="17">
        <v>262663</v>
      </c>
      <c r="AH17" s="17">
        <v>38713</v>
      </c>
      <c r="AI17" s="17">
        <v>186994</v>
      </c>
      <c r="AJ17" s="21">
        <v>13606</v>
      </c>
    </row>
    <row r="18" spans="1:36" s="30" customFormat="1" x14ac:dyDescent="0.2">
      <c r="A18" s="12" t="s">
        <v>28</v>
      </c>
      <c r="B18" s="20">
        <v>614568</v>
      </c>
      <c r="C18" s="18">
        <v>353042</v>
      </c>
      <c r="D18" s="18">
        <v>29146</v>
      </c>
      <c r="E18" s="18">
        <v>193194</v>
      </c>
      <c r="F18" s="22">
        <v>130</v>
      </c>
      <c r="G18" s="20">
        <v>213368</v>
      </c>
      <c r="H18" s="18">
        <v>123580</v>
      </c>
      <c r="I18" s="18">
        <v>823</v>
      </c>
      <c r="J18" s="18">
        <v>85131</v>
      </c>
      <c r="K18" s="22">
        <v>252</v>
      </c>
      <c r="L18" s="20">
        <v>61000</v>
      </c>
      <c r="M18" s="18">
        <v>33493</v>
      </c>
      <c r="N18" s="18">
        <v>-2084</v>
      </c>
      <c r="O18" s="18">
        <v>13533</v>
      </c>
      <c r="P18" s="22">
        <v>989</v>
      </c>
      <c r="Q18" s="20">
        <v>29544</v>
      </c>
      <c r="R18" s="18">
        <v>16878</v>
      </c>
      <c r="S18" s="18">
        <v>2638</v>
      </c>
      <c r="T18" s="18">
        <v>11453</v>
      </c>
      <c r="U18" s="22">
        <v>3518</v>
      </c>
      <c r="V18" s="20">
        <v>216685</v>
      </c>
      <c r="W18" s="18">
        <v>125554</v>
      </c>
      <c r="X18" s="18">
        <v>18562</v>
      </c>
      <c r="Y18" s="18">
        <v>80072</v>
      </c>
      <c r="Z18" s="22">
        <v>145</v>
      </c>
      <c r="AA18" s="20">
        <v>28707</v>
      </c>
      <c r="AB18" s="18">
        <v>16071</v>
      </c>
      <c r="AC18" s="18">
        <v>3715</v>
      </c>
      <c r="AD18" s="18">
        <v>706</v>
      </c>
      <c r="AE18" s="22">
        <v>169</v>
      </c>
      <c r="AF18" s="20">
        <v>460180</v>
      </c>
      <c r="AG18" s="18">
        <v>263571</v>
      </c>
      <c r="AH18" s="18">
        <v>29388</v>
      </c>
      <c r="AI18" s="18">
        <v>211692</v>
      </c>
      <c r="AJ18" s="22">
        <v>16889</v>
      </c>
    </row>
    <row r="19" spans="1:36" x14ac:dyDescent="0.2">
      <c r="A19" s="10" t="s">
        <v>29</v>
      </c>
      <c r="B19" s="19"/>
      <c r="C19" s="17"/>
      <c r="D19" s="17"/>
      <c r="E19" s="17"/>
      <c r="F19" s="21"/>
      <c r="G19" s="19"/>
      <c r="H19" s="17"/>
      <c r="I19" s="17"/>
      <c r="J19" s="17"/>
      <c r="K19" s="21"/>
      <c r="L19" s="19"/>
      <c r="M19" s="17"/>
      <c r="N19" s="17"/>
      <c r="O19" s="17"/>
      <c r="P19" s="21"/>
      <c r="Q19" s="19"/>
      <c r="R19" s="17"/>
      <c r="S19" s="17"/>
      <c r="T19" s="17"/>
      <c r="U19" s="21"/>
      <c r="V19" s="19"/>
      <c r="W19" s="17"/>
      <c r="X19" s="17"/>
      <c r="Y19" s="17"/>
      <c r="Z19" s="21"/>
      <c r="AA19" s="19"/>
      <c r="AB19" s="17"/>
      <c r="AC19" s="17"/>
      <c r="AD19" s="17"/>
      <c r="AE19" s="21"/>
      <c r="AF19" s="19"/>
      <c r="AG19" s="17"/>
      <c r="AH19" s="17"/>
      <c r="AI19" s="17"/>
      <c r="AJ19" s="21"/>
    </row>
    <row r="20" spans="1:36" x14ac:dyDescent="0.2">
      <c r="A20" s="10" t="s">
        <v>37</v>
      </c>
      <c r="B20" s="19"/>
      <c r="C20" s="17"/>
      <c r="D20" s="17"/>
      <c r="E20" s="17"/>
      <c r="F20" s="21"/>
      <c r="G20" s="19"/>
      <c r="H20" s="17"/>
      <c r="I20" s="17"/>
      <c r="J20" s="17"/>
      <c r="K20" s="21"/>
      <c r="L20" s="19"/>
      <c r="M20" s="17"/>
      <c r="N20" s="17"/>
      <c r="O20" s="17"/>
      <c r="P20" s="21"/>
      <c r="Q20" s="19"/>
      <c r="R20" s="17"/>
      <c r="S20" s="17"/>
      <c r="T20" s="17"/>
      <c r="U20" s="21"/>
      <c r="V20" s="19"/>
      <c r="W20" s="17"/>
      <c r="X20" s="17"/>
      <c r="Y20" s="17"/>
      <c r="Z20" s="21"/>
      <c r="AA20" s="19"/>
      <c r="AB20" s="17"/>
      <c r="AC20" s="17"/>
      <c r="AD20" s="17"/>
      <c r="AE20" s="21"/>
      <c r="AF20" s="19"/>
      <c r="AG20" s="17"/>
      <c r="AH20" s="17"/>
      <c r="AI20" s="17"/>
      <c r="AJ20" s="21"/>
    </row>
    <row r="21" spans="1:36" ht="12" thickBot="1" x14ac:dyDescent="0.25">
      <c r="A21" s="10" t="s">
        <v>30</v>
      </c>
      <c r="B21" s="27"/>
      <c r="C21" s="28"/>
      <c r="D21" s="28"/>
      <c r="E21" s="28"/>
      <c r="F21" s="29"/>
      <c r="G21" s="27"/>
      <c r="H21" s="28"/>
      <c r="I21" s="28"/>
      <c r="J21" s="28"/>
      <c r="K21" s="29"/>
      <c r="L21" s="27"/>
      <c r="M21" s="28"/>
      <c r="N21" s="28"/>
      <c r="O21" s="28"/>
      <c r="P21" s="29"/>
      <c r="Q21" s="27"/>
      <c r="R21" s="28"/>
      <c r="S21" s="28"/>
      <c r="T21" s="28"/>
      <c r="U21" s="29"/>
      <c r="V21" s="27"/>
      <c r="W21" s="28"/>
      <c r="X21" s="28"/>
      <c r="Y21" s="28"/>
      <c r="Z21" s="29"/>
      <c r="AA21" s="27"/>
      <c r="AB21" s="28"/>
      <c r="AC21" s="28"/>
      <c r="AD21" s="28"/>
      <c r="AE21" s="29"/>
      <c r="AF21" s="27"/>
      <c r="AG21" s="28"/>
      <c r="AH21" s="28"/>
      <c r="AI21" s="28"/>
      <c r="AJ21" s="29"/>
    </row>
  </sheetData>
  <mergeCells count="9">
    <mergeCell ref="V5:Z5"/>
    <mergeCell ref="AA5:AE5"/>
    <mergeCell ref="AF5:AJ5"/>
    <mergeCell ref="C1:F1"/>
    <mergeCell ref="B5:F5"/>
    <mergeCell ref="G5:K5"/>
    <mergeCell ref="L5:P5"/>
    <mergeCell ref="Q5:U5"/>
    <mergeCell ref="C2:F2"/>
  </mergeCells>
  <dataValidations count="1">
    <dataValidation type="list" allowBlank="1" showInputMessage="1" showErrorMessage="1" sqref="WTB983011 A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GP5">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tabSelected="1" workbookViewId="0">
      <selection activeCell="F10" sqref="F10"/>
    </sheetView>
  </sheetViews>
  <sheetFormatPr defaultRowHeight="12.75" x14ac:dyDescent="0.2"/>
  <cols>
    <col min="1" max="1" width="33.83203125" style="1" customWidth="1"/>
    <col min="2" max="2" width="20" style="1" customWidth="1"/>
    <col min="3" max="3" width="17.5" style="1" customWidth="1"/>
    <col min="4" max="4" width="17.83203125" style="1" customWidth="1"/>
    <col min="5" max="5" width="16.6640625" style="1" customWidth="1"/>
    <col min="6" max="6" width="20.5" style="1" customWidth="1"/>
    <col min="7" max="7" width="23.83203125" style="1" customWidth="1"/>
    <col min="8" max="8" width="2.6640625" style="1" customWidth="1"/>
    <col min="9" max="16384" width="9.33203125" style="1"/>
  </cols>
  <sheetData>
    <row r="1" spans="1:7" ht="15.95" customHeight="1" x14ac:dyDescent="0.2">
      <c r="A1" s="49" t="s">
        <v>0</v>
      </c>
      <c r="B1" s="49"/>
      <c r="C1" s="49"/>
      <c r="D1" s="49"/>
      <c r="E1" s="49"/>
      <c r="F1" s="49"/>
      <c r="G1" s="49"/>
    </row>
    <row r="2" spans="1:7" ht="15.95" customHeight="1" x14ac:dyDescent="0.2">
      <c r="A2" s="49" t="s">
        <v>1</v>
      </c>
      <c r="B2" s="49"/>
      <c r="C2" s="49"/>
      <c r="D2" s="49"/>
      <c r="E2" s="49"/>
      <c r="F2" s="49"/>
      <c r="G2" s="49"/>
    </row>
    <row r="3" spans="1:7" ht="72" customHeight="1" x14ac:dyDescent="0.2">
      <c r="A3" s="2"/>
      <c r="B3" s="3" t="str">
        <f>INPUT!A1&amp;"*"</f>
        <v>QUARTER ENDED MARCH 31 2017*</v>
      </c>
      <c r="C3" s="4" t="s">
        <v>2</v>
      </c>
      <c r="D3" s="4" t="s">
        <v>3</v>
      </c>
      <c r="E3" s="4" t="s">
        <v>4</v>
      </c>
      <c r="F3" s="4" t="s">
        <v>5</v>
      </c>
      <c r="G3" s="4" t="s">
        <v>6</v>
      </c>
    </row>
    <row r="4" spans="1:7" ht="27.95" customHeight="1" x14ac:dyDescent="0.2">
      <c r="A4" s="47" t="s">
        <v>7</v>
      </c>
      <c r="B4" s="3">
        <f>INPUT!A3</f>
        <v>2017</v>
      </c>
      <c r="C4" s="24">
        <f>VLOOKUP(INPUT!$A$1,INPUT!$A$5:$AJ$21,2,FALSE)</f>
        <v>614568</v>
      </c>
      <c r="D4" s="24">
        <f>VLOOKUP(INPUT!$A$1,INPUT!$A$5:$AJ$21,3,FALSE)</f>
        <v>353042</v>
      </c>
      <c r="E4" s="26">
        <f>VLOOKUP(INPUT!$A$1,INPUT!$A$5:$AJ$21,4,FALSE)</f>
        <v>29146</v>
      </c>
      <c r="F4" s="24">
        <f>VLOOKUP(INPUT!$A$1,INPUT!$A$5:$AJ$21,5,FALSE)</f>
        <v>193194</v>
      </c>
      <c r="G4" s="24">
        <f>VLOOKUP(INPUT!$A$1,INPUT!$A$5:$AJ$21,6,FALSE)</f>
        <v>130</v>
      </c>
    </row>
    <row r="5" spans="1:7" ht="27.95" customHeight="1" x14ac:dyDescent="0.2">
      <c r="A5" s="48"/>
      <c r="B5" s="3">
        <f>INPUT!A4</f>
        <v>2016</v>
      </c>
      <c r="C5" s="24">
        <f>VLOOKUP(INPUT!$A$2,INPUT!$A$5:$AJ$21,2,FALSE)</f>
        <v>405880</v>
      </c>
      <c r="D5" s="24">
        <f>VLOOKUP(INPUT!$A$2,INPUT!$A$5:$AJ$21,3,FALSE)</f>
        <v>332147</v>
      </c>
      <c r="E5" s="26">
        <f>VLOOKUP(INPUT!$A$2,INPUT!$A$5:$AJ$21,4,FALSE)</f>
        <v>-181397</v>
      </c>
      <c r="F5" s="24">
        <f>VLOOKUP(INPUT!$A$2,INPUT!$A$5:$AJ$21,5,FALSE)</f>
        <v>123810</v>
      </c>
      <c r="G5" s="24">
        <f>VLOOKUP(INPUT!$A$2,INPUT!$A$5:$AJ$21,6,FALSE)</f>
        <v>456</v>
      </c>
    </row>
    <row r="6" spans="1:7" ht="27.95" customHeight="1" x14ac:dyDescent="0.2">
      <c r="A6" s="50" t="s">
        <v>19</v>
      </c>
      <c r="B6" s="3">
        <f>$B$4</f>
        <v>2017</v>
      </c>
      <c r="C6" s="24">
        <f>VLOOKUP(INPUT!$A$1,INPUT!$A$5:$AJ$21,7,FALSE)</f>
        <v>213368</v>
      </c>
      <c r="D6" s="24">
        <f>VLOOKUP(INPUT!$A$1,INPUT!$A$5:$AJ$21,8,FALSE)</f>
        <v>123580</v>
      </c>
      <c r="E6" s="26">
        <f>VLOOKUP(INPUT!$A$1,INPUT!$A$5:$AJ$21,9,FALSE)</f>
        <v>823</v>
      </c>
      <c r="F6" s="24">
        <f>VLOOKUP(INPUT!$A$1,INPUT!$A$5:$AJ$21,10,FALSE)</f>
        <v>85131</v>
      </c>
      <c r="G6" s="24">
        <f>VLOOKUP(INPUT!$A$1,INPUT!$A$5:$AJ$21,11,FALSE)</f>
        <v>252</v>
      </c>
    </row>
    <row r="7" spans="1:7" ht="27.95" customHeight="1" x14ac:dyDescent="0.2">
      <c r="A7" s="51"/>
      <c r="B7" s="3">
        <f>$B$5</f>
        <v>2016</v>
      </c>
      <c r="C7" s="24">
        <f>VLOOKUP(INPUT!$A$2,INPUT!$A$5:$AJ$21,7,FALSE)</f>
        <v>145992</v>
      </c>
      <c r="D7" s="24">
        <f>VLOOKUP(INPUT!$A$2,INPUT!$A$5:$AJ$21,8,FALSE)</f>
        <v>122532</v>
      </c>
      <c r="E7" s="26">
        <f>VLOOKUP(INPUT!$A$2,INPUT!$A$5:$AJ$21,9,FALSE)</f>
        <v>-50335</v>
      </c>
      <c r="F7" s="24">
        <f>VLOOKUP(INPUT!$A$2,INPUT!$A$5:$AJ$21,10,FALSE)</f>
        <v>52032</v>
      </c>
      <c r="G7" s="24">
        <f>VLOOKUP(INPUT!$A$2,INPUT!$A$5:$AJ$21,11,FALSE)</f>
        <v>152</v>
      </c>
    </row>
    <row r="8" spans="1:7" ht="27.95" customHeight="1" x14ac:dyDescent="0.2">
      <c r="A8" s="47" t="s">
        <v>8</v>
      </c>
      <c r="B8" s="3">
        <f>$B$4</f>
        <v>2017</v>
      </c>
      <c r="C8" s="24">
        <f>VLOOKUP(INPUT!$A$1,INPUT!$A$5:$AJ$21,12,FALSE)</f>
        <v>61000</v>
      </c>
      <c r="D8" s="24">
        <f>VLOOKUP(INPUT!$A$1,INPUT!$A$5:$AJ$21,13,FALSE)</f>
        <v>33493</v>
      </c>
      <c r="E8" s="26">
        <f>VLOOKUP(INPUT!$A$1,INPUT!$A$5:$AJ$21,14,FALSE)</f>
        <v>-2084</v>
      </c>
      <c r="F8" s="24">
        <f>VLOOKUP(INPUT!$A$1,INPUT!$A$5:$AJ$21,15,FALSE)</f>
        <v>13533</v>
      </c>
      <c r="G8" s="24">
        <f>VLOOKUP(INPUT!$A$1,INPUT!$A$5:$AJ$21,16,FALSE)</f>
        <v>989</v>
      </c>
    </row>
    <row r="9" spans="1:7" ht="27.95" customHeight="1" x14ac:dyDescent="0.2">
      <c r="A9" s="48"/>
      <c r="B9" s="3">
        <f>$B$5</f>
        <v>2016</v>
      </c>
      <c r="C9" s="24">
        <f>VLOOKUP(INPUT!$A$2,INPUT!$A$5:$AJ$21,12,FALSE)</f>
        <v>40627</v>
      </c>
      <c r="D9" s="24">
        <f>VLOOKUP(INPUT!$A$2,INPUT!$A$5:$AJ$21,13,FALSE)</f>
        <v>30717</v>
      </c>
      <c r="E9" s="26">
        <f>VLOOKUP(INPUT!$A$2,INPUT!$A$5:$AJ$21,14,FALSE)</f>
        <v>-12860</v>
      </c>
      <c r="F9" s="24">
        <f>VLOOKUP(INPUT!$A$2,INPUT!$A$5:$AJ$21,15,FALSE)</f>
        <v>7132</v>
      </c>
      <c r="G9" s="24">
        <f>VLOOKUP(INPUT!$A$2,INPUT!$A$5:$AJ$21,16,FALSE)</f>
        <v>249</v>
      </c>
    </row>
    <row r="10" spans="1:7" ht="27.95" customHeight="1" x14ac:dyDescent="0.2">
      <c r="A10" s="47" t="s">
        <v>9</v>
      </c>
      <c r="B10" s="3">
        <f>$B$4</f>
        <v>2017</v>
      </c>
      <c r="C10" s="24">
        <f>VLOOKUP(INPUT!$A$1,INPUT!$A$5:$AJ$21,17,FALSE)</f>
        <v>29544</v>
      </c>
      <c r="D10" s="24">
        <f>VLOOKUP(INPUT!$A$1,INPUT!$A$5:$AJ$21,18,FALSE)</f>
        <v>16878</v>
      </c>
      <c r="E10" s="26">
        <f>VLOOKUP(INPUT!$A$1,INPUT!$A$5:$AJ$21,19,FALSE)</f>
        <v>2638</v>
      </c>
      <c r="F10" s="24">
        <f>VLOOKUP(INPUT!$A$1,INPUT!$A$5:$AJ$21,20,FALSE)</f>
        <v>11453</v>
      </c>
      <c r="G10" s="24">
        <f>VLOOKUP(INPUT!$A$1,INPUT!$A$5:$AJ$21,21,FALSE)</f>
        <v>3518</v>
      </c>
    </row>
    <row r="11" spans="1:7" ht="27.95" customHeight="1" x14ac:dyDescent="0.2">
      <c r="A11" s="48"/>
      <c r="B11" s="3">
        <f>$B$5</f>
        <v>2016</v>
      </c>
      <c r="C11" s="24">
        <f>VLOOKUP(INPUT!$A$2,INPUT!$A$5:$AJ$21,17,FALSE)</f>
        <v>19080</v>
      </c>
      <c r="D11" s="24">
        <f>VLOOKUP(INPUT!$A$2,INPUT!$A$5:$AJ$21,18,FALSE)</f>
        <v>15584</v>
      </c>
      <c r="E11" s="26">
        <f>VLOOKUP(INPUT!$A$2,INPUT!$A$5:$AJ$21,19,FALSE)</f>
        <v>-7519</v>
      </c>
      <c r="F11" s="24">
        <f>VLOOKUP(INPUT!$A$2,INPUT!$A$5:$AJ$21,20,FALSE)</f>
        <v>6663</v>
      </c>
      <c r="G11" s="24">
        <f>VLOOKUP(INPUT!$A$2,INPUT!$A$5:$AJ$21,21,FALSE)</f>
        <v>1410</v>
      </c>
    </row>
    <row r="12" spans="1:7" ht="27.95" customHeight="1" x14ac:dyDescent="0.2">
      <c r="A12" s="47" t="s">
        <v>10</v>
      </c>
      <c r="B12" s="3">
        <f>$B$4</f>
        <v>2017</v>
      </c>
      <c r="C12" s="24">
        <f>VLOOKUP(INPUT!$A$1,INPUT!$A$5:$AJ$21,22,FALSE)</f>
        <v>216685</v>
      </c>
      <c r="D12" s="24">
        <f>VLOOKUP(INPUT!$A$1,INPUT!$A$5:$AJ$21,23,FALSE)</f>
        <v>125554</v>
      </c>
      <c r="E12" s="26">
        <f>VLOOKUP(INPUT!$A$1,INPUT!$A$5:$AJ$21,24,FALSE)</f>
        <v>18562</v>
      </c>
      <c r="F12" s="24">
        <f>VLOOKUP(INPUT!$A$1,INPUT!$A$5:$AJ$21,25,FALSE)</f>
        <v>80072</v>
      </c>
      <c r="G12" s="24">
        <f>VLOOKUP(INPUT!$A$1,INPUT!$A$5:$AJ$21,26,FALSE)</f>
        <v>145</v>
      </c>
    </row>
    <row r="13" spans="1:7" ht="27.95" customHeight="1" x14ac:dyDescent="0.2">
      <c r="A13" s="48"/>
      <c r="B13" s="3">
        <f>$B$5</f>
        <v>2016</v>
      </c>
      <c r="C13" s="24">
        <f>VLOOKUP(INPUT!$A$2,INPUT!$A$5:$AJ$21,22,FALSE)</f>
        <v>152309</v>
      </c>
      <c r="D13" s="24">
        <f>VLOOKUP(INPUT!$A$2,INPUT!$A$5:$AJ$21,23,FALSE)</f>
        <v>127870</v>
      </c>
      <c r="E13" s="26">
        <f>VLOOKUP(INPUT!$A$2,INPUT!$A$5:$AJ$21,24,FALSE)</f>
        <v>-47596</v>
      </c>
      <c r="F13" s="24">
        <f>VLOOKUP(INPUT!$A$2,INPUT!$A$5:$AJ$21,25,FALSE)</f>
        <v>49073</v>
      </c>
      <c r="G13" s="24">
        <f>VLOOKUP(INPUT!$A$2,INPUT!$A$5:$AJ$21,26,FALSE)</f>
        <v>83</v>
      </c>
    </row>
    <row r="14" spans="1:7" ht="27.95" customHeight="1" x14ac:dyDescent="0.2">
      <c r="A14" s="47" t="s">
        <v>11</v>
      </c>
      <c r="B14" s="3">
        <f>$B$4</f>
        <v>2017</v>
      </c>
      <c r="C14" s="24">
        <f>VLOOKUP(INPUT!$A$1,INPUT!$A$5:$AJ$21,27,FALSE)</f>
        <v>28707</v>
      </c>
      <c r="D14" s="24">
        <f>VLOOKUP(INPUT!$A$1,INPUT!$A$5:$AJ$21,28,FALSE)</f>
        <v>16071</v>
      </c>
      <c r="E14" s="26">
        <f>VLOOKUP(INPUT!$A$1,INPUT!$A$5:$AJ$21,29,FALSE)</f>
        <v>3715</v>
      </c>
      <c r="F14" s="24">
        <f>VLOOKUP(INPUT!$A$1,INPUT!$A$5:$AJ$21,30,FALSE)</f>
        <v>706</v>
      </c>
      <c r="G14" s="24">
        <f>VLOOKUP(INPUT!$A$1,INPUT!$A$5:$AJ$21,31,FALSE)</f>
        <v>169</v>
      </c>
    </row>
    <row r="15" spans="1:7" ht="27.95" customHeight="1" x14ac:dyDescent="0.2">
      <c r="A15" s="48"/>
      <c r="B15" s="3">
        <f>$B$5</f>
        <v>2016</v>
      </c>
      <c r="C15" s="24">
        <f>VLOOKUP(INPUT!$A$2,INPUT!$A$5:$AJ$21,27,FALSE)</f>
        <v>16128</v>
      </c>
      <c r="D15" s="24">
        <f>VLOOKUP(INPUT!$A$2,INPUT!$A$5:$AJ$21,28,FALSE)</f>
        <v>15746</v>
      </c>
      <c r="E15" s="26">
        <f>VLOOKUP(INPUT!$A$2,INPUT!$A$5:$AJ$21,29,FALSE)</f>
        <v>-9692</v>
      </c>
      <c r="F15" s="24">
        <f>VLOOKUP(INPUT!$A$2,INPUT!$A$5:$AJ$21,30,FALSE)</f>
        <v>2746</v>
      </c>
      <c r="G15" s="24">
        <f>VLOOKUP(INPUT!$A$2,INPUT!$A$5:$AJ$21,31,FALSE)</f>
        <v>631</v>
      </c>
    </row>
    <row r="16" spans="1:7" ht="27.95" customHeight="1" x14ac:dyDescent="0.2">
      <c r="A16" s="47" t="s">
        <v>12</v>
      </c>
      <c r="B16" s="3">
        <f>$B$4</f>
        <v>2017</v>
      </c>
      <c r="C16" s="24">
        <f>VLOOKUP(INPUT!$A$1,INPUT!$A$5:$AJ$21,32,FALSE)</f>
        <v>460180</v>
      </c>
      <c r="D16" s="24">
        <f>VLOOKUP(INPUT!$A$1,INPUT!$A$5:$AJ$21,33,FALSE)</f>
        <v>263571</v>
      </c>
      <c r="E16" s="26">
        <f>VLOOKUP(INPUT!$A$1,INPUT!$A$5:$AJ$21,34,FALSE)</f>
        <v>29388</v>
      </c>
      <c r="F16" s="24">
        <f>VLOOKUP(INPUT!$A$1,INPUT!$A$5:$AJ$21,35,FALSE)</f>
        <v>211692</v>
      </c>
      <c r="G16" s="24">
        <f>VLOOKUP(INPUT!$A$1,INPUT!$A$5:$AJ$21,36,FALSE)</f>
        <v>16889</v>
      </c>
    </row>
    <row r="17" spans="1:7" ht="27.95" customHeight="1" x14ac:dyDescent="0.2">
      <c r="A17" s="48"/>
      <c r="B17" s="3">
        <f>$B$5</f>
        <v>2016</v>
      </c>
      <c r="C17" s="24">
        <f>VLOOKUP(INPUT!$A$2,INPUT!$A$5:$AJ$21,32,FALSE)</f>
        <v>320213</v>
      </c>
      <c r="D17" s="24">
        <f>VLOOKUP(INPUT!$A$2,INPUT!$A$5:$AJ$21,33,FALSE)</f>
        <v>257872</v>
      </c>
      <c r="E17" s="26">
        <f>VLOOKUP(INPUT!$A$2,INPUT!$A$5:$AJ$21,34,FALSE)</f>
        <v>-103952</v>
      </c>
      <c r="F17" s="24">
        <f>VLOOKUP(INPUT!$A$2,INPUT!$A$5:$AJ$21,35,FALSE)</f>
        <v>112902</v>
      </c>
      <c r="G17" s="24">
        <f>VLOOKUP(INPUT!$A$2,INPUT!$A$5:$AJ$21,36,FALSE)</f>
        <v>8835</v>
      </c>
    </row>
    <row r="19" spans="1:7" ht="15" x14ac:dyDescent="0.2">
      <c r="A19" s="5" t="str">
        <f>"*"&amp;INPUT!C1</f>
        <v>*CSX Transportation Inc.'s quarter ended on March 31, 2017.</v>
      </c>
      <c r="B19" s="5"/>
      <c r="C19" s="5"/>
    </row>
    <row r="20" spans="1:7" ht="15" x14ac:dyDescent="0.2">
      <c r="A20" s="5" t="str">
        <f>"*"&amp;INPUT!C2</f>
        <v>*CSX Transportation Inc.'s quarter ended on March 25, 2016.</v>
      </c>
      <c r="B20" s="5"/>
      <c r="C20" s="5"/>
    </row>
    <row r="21" spans="1:7" ht="15" x14ac:dyDescent="0.2">
      <c r="A21" s="5" t="s">
        <v>13</v>
      </c>
      <c r="B21" s="5"/>
      <c r="C21" s="5"/>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91" orientation="landscape" r:id="rId1"/>
  <ignoredErrors>
    <ignoredError sqref="B5 C6:C7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Government of the United States</cp:lastModifiedBy>
  <cp:lastPrinted>2017-05-02T14:14:57Z</cp:lastPrinted>
  <dcterms:created xsi:type="dcterms:W3CDTF">2013-02-13T08:02:04Z</dcterms:created>
  <dcterms:modified xsi:type="dcterms:W3CDTF">2017-05-02T17:59:15Z</dcterms:modified>
</cp:coreProperties>
</file>